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ergysavingtrust.sharepoint.com/sites/SMEonlinehub/Shared Documents/Business case for EVs/"/>
    </mc:Choice>
  </mc:AlternateContent>
  <xr:revisionPtr revIDLastSave="0" documentId="8_{72D948DF-8AEE-4B69-8222-5D13479A2940}" xr6:coauthVersionLast="47" xr6:coauthVersionMax="47" xr10:uidLastSave="{00000000-0000-0000-0000-000000000000}"/>
  <workbookProtection workbookAlgorithmName="SHA-512" workbookHashValue="z9VS3m3/iBONNG3RlpeCBR+98cCuW13vMQJjcSOoZD9thLz+vhmA7EBsTR2s02Jh9IGxyHwIY2/hSWUIewNppw==" workbookSaltValue="w27Uqt+qFOdbMRuEBHKWpQ==" workbookSpinCount="100000" lockStructure="1"/>
  <bookViews>
    <workbookView xWindow="-110" yWindow="-110" windowWidth="19420" windowHeight="10420" firstSheet="1" activeTab="1" xr2:uid="{D161C65B-65B4-4A5B-A1A8-F43E3D6C330E}"/>
  </bookViews>
  <sheets>
    <sheet name="CO2 emissions calculator" sheetId="1" r:id="rId1"/>
    <sheet name="Savings on fuel" sheetId="3" r:id="rId2"/>
    <sheet name="Calculations and figures" sheetId="4" r:id="rId3"/>
  </sheets>
  <externalReferences>
    <externalReference r:id="rId4"/>
  </externalReferences>
  <definedNames>
    <definedName name="Calculate_and_compare_the_costs_of_fueling_ICE_and_electric_vehicles">'[1]Fuel cost savings (discard)'!$D$4:$M$12</definedName>
    <definedName name="Quick_calculator_to_work_out_annual_CO2_emissions_of_ICE_vehicles">'CO2 emissions calculator'!$C$3:$O$12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K9" i="1" s="1"/>
  <c r="H8" i="4"/>
  <c r="H9" i="4"/>
  <c r="H4" i="4"/>
  <c r="H11" i="4" s="1"/>
  <c r="H10" i="4"/>
  <c r="B18" i="4"/>
  <c r="B3" i="4"/>
  <c r="B4" i="4" s="1"/>
  <c r="C9" i="1" s="1"/>
  <c r="H12" i="4" l="1"/>
  <c r="I10" i="3" s="1"/>
  <c r="B14" i="4"/>
  <c r="I7" i="3"/>
  <c r="I5" i="3"/>
  <c r="I3" i="3"/>
  <c r="H13" i="4" l="1"/>
  <c r="H14" i="4" s="1"/>
  <c r="I16" i="3" s="1"/>
  <c r="B15" i="4"/>
  <c r="B19" i="4" s="1"/>
  <c r="G13" i="1" s="1"/>
  <c r="I13" i="3" l="1"/>
  <c r="H12" i="1"/>
</calcChain>
</file>

<file path=xl/sharedStrings.xml><?xml version="1.0" encoding="utf-8"?>
<sst xmlns="http://schemas.openxmlformats.org/spreadsheetml/2006/main" count="89" uniqueCount="79">
  <si>
    <r>
      <t>Quick calculator to work out annual CO</t>
    </r>
    <r>
      <rPr>
        <b/>
        <u/>
        <vertAlign val="subscript"/>
        <sz val="10"/>
        <rFont val="Poppins"/>
      </rPr>
      <t>2</t>
    </r>
    <r>
      <rPr>
        <b/>
        <u/>
        <sz val="10"/>
        <rFont val="Poppins"/>
      </rPr>
      <t xml:space="preserve"> emissions of ICE vehicles</t>
    </r>
  </si>
  <si>
    <r>
      <t>Quick calculator to work out annual CO</t>
    </r>
    <r>
      <rPr>
        <b/>
        <u/>
        <vertAlign val="subscript"/>
        <sz val="10"/>
        <rFont val="Poppins"/>
      </rPr>
      <t>2</t>
    </r>
    <r>
      <rPr>
        <b/>
        <u/>
        <sz val="10"/>
        <rFont val="Poppins"/>
      </rPr>
      <t xml:space="preserve"> emissions of electric cars or vans</t>
    </r>
  </si>
  <si>
    <r>
      <t>Vehicle's advertised CO</t>
    </r>
    <r>
      <rPr>
        <vertAlign val="subscript"/>
        <sz val="10"/>
        <rFont val="Poppins"/>
      </rPr>
      <t>2</t>
    </r>
    <r>
      <rPr>
        <sz val="10"/>
        <rFont val="Poppins"/>
      </rPr>
      <t xml:space="preserve"> emissions (CO</t>
    </r>
    <r>
      <rPr>
        <vertAlign val="subscript"/>
        <sz val="10"/>
        <rFont val="Poppins"/>
      </rPr>
      <t>2</t>
    </r>
    <r>
      <rPr>
        <sz val="10"/>
        <rFont val="Poppins"/>
      </rPr>
      <t xml:space="preserve"> G/Km):</t>
    </r>
  </si>
  <si>
    <t>Select the vehicle type:</t>
  </si>
  <si>
    <t>Average Car</t>
  </si>
  <si>
    <t>% uplift</t>
  </si>
  <si>
    <t>Vehicle's annual mileage:</t>
  </si>
  <si>
    <r>
      <t>CO</t>
    </r>
    <r>
      <rPr>
        <vertAlign val="subscript"/>
        <sz val="10"/>
        <rFont val="Poppins"/>
      </rPr>
      <t>2</t>
    </r>
    <r>
      <rPr>
        <sz val="10"/>
        <rFont val="Poppins"/>
      </rPr>
      <t xml:space="preserve"> saved by switching to an electric vehicle:</t>
    </r>
  </si>
  <si>
    <r>
      <t>[Data last updated March 2023] Emissions factors taken from government data (https://www.gov.uk/government/publications/greenhouse-gas-reporting-conversion-factors-2022), data on intake of CO</t>
    </r>
    <r>
      <rPr>
        <i/>
        <vertAlign val="subscript"/>
        <sz val="7"/>
        <rFont val="Poppins"/>
      </rPr>
      <t>2</t>
    </r>
    <r>
      <rPr>
        <i/>
        <sz val="7"/>
        <rFont val="Poppins"/>
      </rPr>
      <t xml:space="preserve"> from forests from forestry commission data (https://assets.ctfassets.net/veghhywsw6ys/54krbctEDeX9vsp34BP5rt/84ccdd120d5fe35ce33badf14fc7f93e/Forestry-Commission-report-into-impact-of-planting-trees-on-carbon-emissions.pdf)  </t>
    </r>
  </si>
  <si>
    <t>Data entry</t>
  </si>
  <si>
    <t>Costs and savings</t>
  </si>
  <si>
    <t>1) What is your annual mileage?</t>
  </si>
  <si>
    <t>2) Enter the following information for the ICE vehicle:</t>
  </si>
  <si>
    <t>What MPG does your vehicle achieve? *</t>
  </si>
  <si>
    <t>Is the vehicle petrol or diesel?</t>
  </si>
  <si>
    <t>Diesel</t>
  </si>
  <si>
    <t>*= The tested MPG (i.e. WLTP) is likely to be higher than real life MPG</t>
  </si>
  <si>
    <t>3) Enter the following information for the EV:</t>
  </si>
  <si>
    <t>What is the energy consumption of the EV (select units)?</t>
  </si>
  <si>
    <t>Wh/mile</t>
  </si>
  <si>
    <t xml:space="preserve">To calculate the cost of charging, either: </t>
  </si>
  <si>
    <t>4) give a rough idea of how you would charge your EV:</t>
  </si>
  <si>
    <t>●</t>
  </si>
  <si>
    <t>What percentage of charging would use standard domestic electricity?</t>
  </si>
  <si>
    <t>What percentage of charging would use off-peak domestic electricity? *</t>
  </si>
  <si>
    <t>→</t>
  </si>
  <si>
    <t>* Uses economy 7 price. If you have your own off-peak tariff, enter cost in £/kWh</t>
  </si>
  <si>
    <t>What percentage of charging would use public rapid chargers?</t>
  </si>
  <si>
    <t>Uses petrol cost of £1.23/litre (excl. VAT), diesel cost of £1.41/litre (excl. VAT), standard domestic electricity cost of £0.34/kWh, off-peak economy 7  cost of £0.20/kWh (cheaper off-peak tariffs are available), and a rapid charging cost of £0.70/kWh
[Data last updated March 2023. Fuel costs sourced from https://www.gov.uk/government/statistical-data-sets/oil-and-petroleum-products-monthly-statistics; domestic and off-peak charging from https://energysavingtrust.org.uk/about-us/our-data/; rapid charging price from https://www.rac.co.uk/drive/electric-cars/charging/electric-car-public-charging-costs-rac-charge-watch/ ]</t>
  </si>
  <si>
    <r>
      <rPr>
        <sz val="10"/>
        <color theme="1"/>
        <rFont val="Poppins"/>
      </rPr>
      <t>Or</t>
    </r>
    <r>
      <rPr>
        <b/>
        <sz val="10"/>
        <color theme="1"/>
        <rFont val="Poppins"/>
      </rPr>
      <t xml:space="preserve"> </t>
    </r>
  </si>
  <si>
    <t>5) enter your cost of charging in £/kWh</t>
  </si>
  <si>
    <t>Description of figure/calculation</t>
  </si>
  <si>
    <t>Figure</t>
  </si>
  <si>
    <t>Source</t>
  </si>
  <si>
    <t>Last updated</t>
  </si>
  <si>
    <t>CO2 uplift</t>
  </si>
  <si>
    <t>https://assets.publishing.service.gov.uk/government/uploads/system/uploads/attachment_data/file/1083857/2022-ghg-cf-methodology-paper.pdf</t>
  </si>
  <si>
    <t>Petrol cost (ULSP premium unleaded per litre excl. VAT)</t>
  </si>
  <si>
    <t>https://www.gov.uk/government/statistical-data-sets/oil-and-petroleum-products-monthly-statistics</t>
  </si>
  <si>
    <t>Add uplift to advertised CO2 emissions</t>
  </si>
  <si>
    <t>Diesel cost (per litre excl. VAT)</t>
  </si>
  <si>
    <t>Calculate emissions from ICE vehicle (in use)</t>
  </si>
  <si>
    <t>Cost of fuel (per litre)</t>
  </si>
  <si>
    <t>Emissions factor for average van</t>
  </si>
  <si>
    <t>https://www.gov.uk/government/publications/greenhouse-gas-reporting-conversion-factors-2022</t>
  </si>
  <si>
    <t>Domestic electricity price</t>
  </si>
  <si>
    <t>https://energysavingtrust.org.uk/about-us/our-data/</t>
  </si>
  <si>
    <t>Emissions factor for average car</t>
  </si>
  <si>
    <t>Off-peak economy 7 electricity price</t>
  </si>
  <si>
    <t>Emissions factor for small car</t>
  </si>
  <si>
    <t>https://www.gov.uk/government/publications/greenhouse-gas-reporting-conversion-factors-2023</t>
  </si>
  <si>
    <t>Rapid charging price</t>
  </si>
  <si>
    <t>https://www.rac.co.uk/drive/electric-cars/charging/electric-car-public-charging-costs-rac-charge-watch/</t>
  </si>
  <si>
    <t>Emissions factor for medium car</t>
  </si>
  <si>
    <t>https://www.gov.uk/government/publications/greenhouse-gas-reporting-conversion-factors-2024</t>
  </si>
  <si>
    <t>Cost of electricity (per kWh)</t>
  </si>
  <si>
    <t>Emissions factor for large car</t>
  </si>
  <si>
    <t>https://www.gov.uk/government/publications/greenhouse-gas-reporting-conversion-factors-2025</t>
  </si>
  <si>
    <t>Miles per litre (ICE vehicle consumption)</t>
  </si>
  <si>
    <t>Emissions factor for class I van</t>
  </si>
  <si>
    <t>https://www.gov.uk/government/publications/greenhouse-gas-reporting-conversion-factors-2026</t>
  </si>
  <si>
    <t>Miles per kWh (EV energy consumption)</t>
  </si>
  <si>
    <t>Emissions factor for class II van</t>
  </si>
  <si>
    <t>https://www.gov.uk/government/publications/greenhouse-gas-reporting-conversion-factors-2027</t>
  </si>
  <si>
    <t>Annual fuel cost</t>
  </si>
  <si>
    <t>Emissions factor for class III van</t>
  </si>
  <si>
    <t>https://www.gov.uk/government/publications/greenhouse-gas-reporting-conversion-factors-2028</t>
  </si>
  <si>
    <t>Annual electricity cost</t>
  </si>
  <si>
    <t>Calculate emissions from EV (in use)</t>
  </si>
  <si>
    <t>Annual saving</t>
  </si>
  <si>
    <t>Calculate CO2 savings</t>
  </si>
  <si>
    <t>Three year saving</t>
  </si>
  <si>
    <t>Calculate CO2 savings per 100 miles</t>
  </si>
  <si>
    <t>kg of CO2 removed per hectare woodland</t>
  </si>
  <si>
    <t>https://assets.ctfassets.net/veghhywsw6ys/54krbctEDeX9vsp34BP5rt/84ccdd120d5fe35ce33badf14fc7f93e/Forestry-Commission-report-into-impact-of-planting-trees-on-carbon-emissions.pdf</t>
  </si>
  <si>
    <t>Trees per hectare of (mixed native) woodland</t>
  </si>
  <si>
    <t>https://nhsforest.org/how-many-trees-can-be-planted-hectare/#:~:text=A%20native%2C%20mixed%20woodland%20could,be%20planted%20much%20more%20densely.</t>
  </si>
  <si>
    <t>kg of co2 removed per tree in (mixed native) woodland</t>
  </si>
  <si>
    <t>Number of trees that would remove an amount of CO2 equivalent to additional carbon emitted by ICE 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</si>
</sst>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£-809]* #,##0.00_-;\-[$£-809]* #,##0.00_-;_-[$£-809]* &quot;-&quot;??_-;_-@_-"/>
  </numFmts>
  <fonts count="2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name val="Poppins"/>
    </font>
    <font>
      <sz val="11"/>
      <name val="Calibri"/>
      <family val="2"/>
      <scheme val="minor"/>
    </font>
    <font>
      <sz val="10"/>
      <color theme="1"/>
      <name val="Poppins"/>
    </font>
    <font>
      <b/>
      <sz val="10"/>
      <color theme="1"/>
      <name val="Poppins"/>
    </font>
    <font>
      <sz val="10"/>
      <color theme="0"/>
      <name val="Poppins"/>
    </font>
    <font>
      <b/>
      <u/>
      <sz val="10"/>
      <color theme="1"/>
      <name val="Poppins"/>
    </font>
    <font>
      <u/>
      <sz val="10"/>
      <color theme="1"/>
      <name val="Poppins"/>
    </font>
    <font>
      <sz val="10"/>
      <name val="Poppins"/>
    </font>
    <font>
      <sz val="10"/>
      <name val="Calibri"/>
      <family val="2"/>
      <scheme val="minor"/>
    </font>
    <font>
      <sz val="10"/>
      <color theme="4" tint="0.79998168889431442"/>
      <name val="Poppins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7"/>
      <name val="Poppins"/>
    </font>
    <font>
      <b/>
      <u/>
      <vertAlign val="subscript"/>
      <sz val="10"/>
      <name val="Poppins"/>
    </font>
    <font>
      <vertAlign val="subscript"/>
      <sz val="10"/>
      <name val="Poppins"/>
    </font>
    <font>
      <sz val="10"/>
      <name val="Georgia"/>
      <family val="1"/>
    </font>
    <font>
      <sz val="8"/>
      <color theme="1"/>
      <name val="Poppins"/>
    </font>
    <font>
      <sz val="8"/>
      <name val="Poppins"/>
    </font>
    <font>
      <sz val="10"/>
      <color theme="1"/>
      <name val="Calibri"/>
      <family val="2"/>
    </font>
    <font>
      <i/>
      <vertAlign val="subscript"/>
      <sz val="7"/>
      <name val="Poppins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4" tint="-0.499984740745262"/>
      </right>
      <top/>
      <bottom style="thin">
        <color theme="0"/>
      </bottom>
      <diagonal/>
    </border>
    <border>
      <left/>
      <right style="thin">
        <color theme="4" tint="-0.499984740745262"/>
      </right>
      <top style="thin">
        <color theme="0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5">
    <xf numFmtId="0" fontId="0" fillId="0" borderId="0" xfId="0"/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3" fillId="2" borderId="0" xfId="0" applyFont="1" applyFill="1" applyProtection="1">
      <protection hidden="1"/>
    </xf>
    <xf numFmtId="0" fontId="4" fillId="0" borderId="0" xfId="0" applyFont="1"/>
    <xf numFmtId="0" fontId="10" fillId="2" borderId="0" xfId="0" applyFont="1" applyFill="1" applyProtection="1">
      <protection hidden="1"/>
    </xf>
    <xf numFmtId="0" fontId="9" fillId="3" borderId="6" xfId="0" applyFont="1" applyFill="1" applyBorder="1" applyProtection="1">
      <protection hidden="1"/>
    </xf>
    <xf numFmtId="0" fontId="9" fillId="3" borderId="0" xfId="0" applyFont="1" applyFill="1" applyProtection="1">
      <protection hidden="1"/>
    </xf>
    <xf numFmtId="0" fontId="9" fillId="3" borderId="7" xfId="0" applyFont="1" applyFill="1" applyBorder="1" applyProtection="1">
      <protection hidden="1"/>
    </xf>
    <xf numFmtId="0" fontId="6" fillId="4" borderId="3" xfId="0" applyFont="1" applyFill="1" applyBorder="1" applyProtection="1">
      <protection locked="0" hidden="1"/>
    </xf>
    <xf numFmtId="0" fontId="11" fillId="3" borderId="6" xfId="0" applyFont="1" applyFill="1" applyBorder="1" applyProtection="1">
      <protection hidden="1"/>
    </xf>
    <xf numFmtId="9" fontId="11" fillId="3" borderId="0" xfId="0" applyNumberFormat="1" applyFont="1" applyFill="1" applyProtection="1">
      <protection hidden="1"/>
    </xf>
    <xf numFmtId="0" fontId="11" fillId="3" borderId="0" xfId="0" applyFont="1" applyFill="1" applyProtection="1">
      <protection hidden="1"/>
    </xf>
    <xf numFmtId="9" fontId="9" fillId="3" borderId="0" xfId="0" applyNumberFormat="1" applyFont="1" applyFill="1" applyProtection="1">
      <protection hidden="1"/>
    </xf>
    <xf numFmtId="0" fontId="10" fillId="3" borderId="14" xfId="0" applyFont="1" applyFill="1" applyBorder="1" applyProtection="1">
      <protection hidden="1"/>
    </xf>
    <xf numFmtId="0" fontId="10" fillId="3" borderId="18" xfId="0" applyFont="1" applyFill="1" applyBorder="1" applyProtection="1">
      <protection hidden="1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164" fontId="6" fillId="4" borderId="0" xfId="0" applyNumberFormat="1" applyFont="1" applyFill="1" applyAlignment="1" applyProtection="1">
      <alignment wrapText="1"/>
      <protection locked="0"/>
    </xf>
    <xf numFmtId="0" fontId="6" fillId="2" borderId="0" xfId="0" applyFont="1" applyFill="1"/>
    <xf numFmtId="0" fontId="6" fillId="2" borderId="18" xfId="0" applyFont="1" applyFill="1" applyBorder="1"/>
    <xf numFmtId="0" fontId="4" fillId="3" borderId="12" xfId="0" applyFont="1" applyFill="1" applyBorder="1"/>
    <xf numFmtId="0" fontId="4" fillId="3" borderId="15" xfId="0" applyFont="1" applyFill="1" applyBorder="1"/>
    <xf numFmtId="0" fontId="4" fillId="2" borderId="19" xfId="0" applyFont="1" applyFill="1" applyBorder="1"/>
    <xf numFmtId="0" fontId="4" fillId="2" borderId="0" xfId="0" applyFont="1" applyFill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5" xfId="0" applyFont="1" applyFill="1" applyBorder="1"/>
    <xf numFmtId="0" fontId="4" fillId="3" borderId="16" xfId="0" applyFont="1" applyFill="1" applyBorder="1"/>
    <xf numFmtId="0" fontId="4" fillId="3" borderId="11" xfId="0" applyFont="1" applyFill="1" applyBorder="1"/>
    <xf numFmtId="0" fontId="4" fillId="3" borderId="17" xfId="0" applyFont="1" applyFill="1" applyBorder="1"/>
    <xf numFmtId="0" fontId="4" fillId="3" borderId="0" xfId="0" applyFont="1" applyFill="1"/>
    <xf numFmtId="0" fontId="4" fillId="3" borderId="18" xfId="0" applyFont="1" applyFill="1" applyBorder="1"/>
    <xf numFmtId="0" fontId="4" fillId="3" borderId="10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right" wrapText="1"/>
    </xf>
    <xf numFmtId="0" fontId="4" fillId="2" borderId="21" xfId="0" applyFont="1" applyFill="1" applyBorder="1"/>
    <xf numFmtId="0" fontId="4" fillId="2" borderId="17" xfId="0" applyFont="1" applyFill="1" applyBorder="1"/>
    <xf numFmtId="0" fontId="4" fillId="3" borderId="14" xfId="0" applyFont="1" applyFill="1" applyBorder="1"/>
    <xf numFmtId="0" fontId="4" fillId="3" borderId="0" xfId="0" applyFont="1" applyFill="1" applyAlignment="1">
      <alignment horizontal="right"/>
    </xf>
    <xf numFmtId="0" fontId="4" fillId="3" borderId="14" xfId="0" applyFont="1" applyFill="1" applyBorder="1" applyAlignment="1">
      <alignment horizontal="right"/>
    </xf>
    <xf numFmtId="10" fontId="6" fillId="2" borderId="0" xfId="0" applyNumberFormat="1" applyFont="1" applyFill="1"/>
    <xf numFmtId="0" fontId="5" fillId="3" borderId="14" xfId="0" applyFont="1" applyFill="1" applyBorder="1"/>
    <xf numFmtId="0" fontId="6" fillId="2" borderId="10" xfId="0" applyFont="1" applyFill="1" applyBorder="1"/>
    <xf numFmtId="0" fontId="9" fillId="2" borderId="0" xfId="0" applyFont="1" applyFill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/>
    <xf numFmtId="0" fontId="0" fillId="5" borderId="0" xfId="0" applyFill="1" applyAlignment="1">
      <alignment wrapText="1"/>
    </xf>
    <xf numFmtId="0" fontId="0" fillId="5" borderId="0" xfId="0" applyFill="1"/>
    <xf numFmtId="10" fontId="0" fillId="5" borderId="0" xfId="0" applyNumberFormat="1" applyFill="1"/>
    <xf numFmtId="0" fontId="9" fillId="0" borderId="0" xfId="0" applyFont="1"/>
    <xf numFmtId="0" fontId="3" fillId="0" borderId="0" xfId="0" applyFont="1"/>
    <xf numFmtId="164" fontId="9" fillId="2" borderId="0" xfId="0" applyNumberFormat="1" applyFont="1" applyFill="1"/>
    <xf numFmtId="0" fontId="3" fillId="0" borderId="0" xfId="0" applyFont="1" applyAlignment="1">
      <alignment wrapText="1"/>
    </xf>
    <xf numFmtId="0" fontId="3" fillId="5" borderId="0" xfId="0" applyFont="1" applyFill="1" applyAlignment="1">
      <alignment wrapText="1"/>
    </xf>
    <xf numFmtId="164" fontId="3" fillId="5" borderId="0" xfId="0" applyNumberFormat="1" applyFont="1" applyFill="1" applyAlignment="1">
      <alignment wrapText="1"/>
    </xf>
    <xf numFmtId="0" fontId="9" fillId="3" borderId="8" xfId="0" applyFont="1" applyFill="1" applyBorder="1" applyProtection="1">
      <protection hidden="1"/>
    </xf>
    <xf numFmtId="1" fontId="9" fillId="3" borderId="9" xfId="0" applyNumberFormat="1" applyFont="1" applyFill="1" applyBorder="1" applyProtection="1">
      <protection hidden="1"/>
    </xf>
    <xf numFmtId="14" fontId="0" fillId="5" borderId="0" xfId="0" applyNumberFormat="1" applyFill="1"/>
    <xf numFmtId="0" fontId="13" fillId="5" borderId="0" xfId="1" applyFill="1" applyAlignment="1">
      <alignment wrapText="1"/>
    </xf>
    <xf numFmtId="0" fontId="10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Protection="1">
      <protection hidden="1"/>
    </xf>
    <xf numFmtId="0" fontId="4" fillId="3" borderId="21" xfId="0" applyFont="1" applyFill="1" applyBorder="1"/>
    <xf numFmtId="0" fontId="6" fillId="3" borderId="0" xfId="0" applyFont="1" applyFill="1" applyAlignment="1" applyProtection="1">
      <alignment horizontal="center"/>
      <protection locked="0"/>
    </xf>
    <xf numFmtId="0" fontId="18" fillId="2" borderId="19" xfId="0" applyFont="1" applyFill="1" applyBorder="1"/>
    <xf numFmtId="0" fontId="19" fillId="2" borderId="0" xfId="0" applyFont="1" applyFill="1"/>
    <xf numFmtId="0" fontId="20" fillId="3" borderId="14" xfId="0" applyFont="1" applyFill="1" applyBorder="1" applyAlignment="1">
      <alignment horizontal="right"/>
    </xf>
    <xf numFmtId="0" fontId="14" fillId="2" borderId="0" xfId="0" applyFont="1" applyFill="1" applyAlignment="1" applyProtection="1">
      <alignment horizontal="left" wrapText="1"/>
      <protection hidden="1"/>
    </xf>
    <xf numFmtId="0" fontId="9" fillId="3" borderId="14" xfId="0" applyFont="1" applyFill="1" applyBorder="1" applyAlignment="1" applyProtection="1">
      <alignment horizontal="center" wrapText="1"/>
      <protection hidden="1"/>
    </xf>
    <xf numFmtId="0" fontId="9" fillId="3" borderId="0" xfId="0" applyFont="1" applyFill="1" applyAlignment="1" applyProtection="1">
      <alignment horizontal="center" wrapText="1"/>
      <protection hidden="1"/>
    </xf>
    <xf numFmtId="0" fontId="9" fillId="3" borderId="18" xfId="0" applyFont="1" applyFill="1" applyBorder="1" applyAlignment="1" applyProtection="1">
      <alignment horizontal="center" wrapText="1"/>
      <protection hidden="1"/>
    </xf>
    <xf numFmtId="0" fontId="9" fillId="3" borderId="21" xfId="0" applyFont="1" applyFill="1" applyBorder="1" applyAlignment="1" applyProtection="1">
      <alignment horizontal="center" wrapText="1"/>
      <protection hidden="1"/>
    </xf>
    <xf numFmtId="0" fontId="9" fillId="3" borderId="11" xfId="0" applyFont="1" applyFill="1" applyBorder="1" applyAlignment="1" applyProtection="1">
      <alignment horizontal="center" wrapText="1"/>
      <protection hidden="1"/>
    </xf>
    <xf numFmtId="0" fontId="9" fillId="3" borderId="17" xfId="0" applyFont="1" applyFill="1" applyBorder="1" applyAlignment="1" applyProtection="1">
      <alignment horizontal="center" wrapText="1"/>
      <protection hidden="1"/>
    </xf>
    <xf numFmtId="0" fontId="9" fillId="3" borderId="4" xfId="0" applyFont="1" applyFill="1" applyBorder="1" applyAlignment="1" applyProtection="1">
      <alignment horizontal="center"/>
      <protection hidden="1"/>
    </xf>
    <xf numFmtId="0" fontId="9" fillId="3" borderId="2" xfId="0" applyFont="1" applyFill="1" applyBorder="1" applyAlignment="1" applyProtection="1">
      <alignment horizontal="center"/>
      <protection hidden="1"/>
    </xf>
    <xf numFmtId="0" fontId="9" fillId="3" borderId="5" xfId="0" applyFon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right" wrapText="1"/>
      <protection hidden="1"/>
    </xf>
    <xf numFmtId="0" fontId="9" fillId="3" borderId="0" xfId="0" applyFont="1" applyFill="1" applyAlignment="1" applyProtection="1">
      <alignment horizontal="right" wrapText="1"/>
      <protection hidden="1"/>
    </xf>
    <xf numFmtId="1" fontId="9" fillId="3" borderId="0" xfId="0" applyNumberFormat="1" applyFont="1" applyFill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9" fillId="3" borderId="8" xfId="0" applyFont="1" applyFill="1" applyBorder="1" applyAlignment="1" applyProtection="1">
      <alignment horizontal="center"/>
      <protection hidden="1"/>
    </xf>
    <xf numFmtId="0" fontId="9" fillId="3" borderId="9" xfId="0" applyFont="1" applyFill="1" applyBorder="1" applyAlignment="1" applyProtection="1">
      <alignment horizontal="center"/>
      <protection hidden="1"/>
    </xf>
    <xf numFmtId="0" fontId="6" fillId="4" borderId="6" xfId="0" applyFont="1" applyFill="1" applyBorder="1" applyAlignment="1" applyProtection="1">
      <alignment horizontal="center" wrapText="1"/>
      <protection locked="0" hidden="1"/>
    </xf>
    <xf numFmtId="0" fontId="6" fillId="4" borderId="0" xfId="0" applyFont="1" applyFill="1" applyAlignment="1" applyProtection="1">
      <alignment horizontal="center" wrapText="1"/>
      <protection locked="0" hidden="1"/>
    </xf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3" borderId="2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21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6" fillId="4" borderId="0" xfId="0" applyFont="1" applyFill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18" xfId="0" applyFont="1" applyFill="1" applyBorder="1" applyAlignment="1">
      <alignment horizontal="left" wrapText="1"/>
    </xf>
    <xf numFmtId="0" fontId="4" fillId="3" borderId="20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6" fillId="4" borderId="18" xfId="0" applyFont="1" applyFill="1" applyBorder="1" applyAlignment="1" applyProtection="1">
      <alignment horizontal="center" wrapText="1"/>
      <protection locked="0"/>
    </xf>
    <xf numFmtId="0" fontId="6" fillId="4" borderId="17" xfId="0" applyFont="1" applyFill="1" applyBorder="1" applyAlignment="1" applyProtection="1">
      <alignment horizontal="center" wrapText="1"/>
      <protection locked="0"/>
    </xf>
    <xf numFmtId="0" fontId="4" fillId="3" borderId="20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0" fontId="6" fillId="4" borderId="18" xfId="0" applyNumberFormat="1" applyFont="1" applyFill="1" applyBorder="1" applyAlignment="1" applyProtection="1">
      <alignment horizontal="center"/>
      <protection locked="0"/>
    </xf>
    <xf numFmtId="10" fontId="6" fillId="4" borderId="23" xfId="0" applyNumberFormat="1" applyFont="1" applyFill="1" applyBorder="1" applyAlignment="1" applyProtection="1">
      <alignment horizontal="center"/>
      <protection locked="0"/>
    </xf>
    <xf numFmtId="10" fontId="6" fillId="4" borderId="24" xfId="0" applyNumberFormat="1" applyFont="1" applyFill="1" applyBorder="1" applyAlignment="1" applyProtection="1">
      <alignment horizontal="center"/>
      <protection locked="0"/>
    </xf>
    <xf numFmtId="164" fontId="6" fillId="4" borderId="24" xfId="0" applyNumberFormat="1" applyFont="1" applyFill="1" applyBorder="1" applyAlignment="1" applyProtection="1">
      <alignment horizontal="center"/>
      <protection locked="0"/>
    </xf>
    <xf numFmtId="164" fontId="6" fillId="4" borderId="23" xfId="0" applyNumberFormat="1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left" wrapText="1"/>
    </xf>
    <xf numFmtId="0" fontId="9" fillId="3" borderId="15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4" fillId="3" borderId="17" xfId="0" applyFont="1" applyFill="1" applyBorder="1" applyAlignment="1">
      <alignment horizontal="left" wrapText="1"/>
    </xf>
    <xf numFmtId="0" fontId="4" fillId="3" borderId="21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Table Style 1" pivot="0" count="0" xr9:uid="{877D1413-C412-4D0A-8E1C-582FC15EAA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ergysavingtrust-my.sharepoint.com/personal/grace_ocallaghan_est_org_uk/Documents/Documents/SME%20hub/old%20fuel%20cost%20savings%20calculation%20tool.xlsx" TargetMode="External"/><Relationship Id="rId1" Type="http://schemas.openxmlformats.org/officeDocument/2006/relationships/externalLinkPath" Target="https://energysavingtrust-my.sharepoint.com/personal/grace_ocallaghan_est_org_uk/Documents/Documents/SME%20hub/old%20fuel%20cost%20savings%20calculation%20t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el cost savings (discard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monthly-statistics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assets.ctfassets.net/veghhywsw6ys/54krbctEDeX9vsp34BP5rt/84ccdd120d5fe35ce33badf14fc7f93e/Forestry-Commission-report-into-impact-of-planting-trees-on-carbon-emissions.pdf" TargetMode="External"/><Relationship Id="rId1" Type="http://schemas.openxmlformats.org/officeDocument/2006/relationships/hyperlink" Target="https://www.gov.uk/government/publications/greenhouse-gas-reporting-conversion-factors-2022" TargetMode="External"/><Relationship Id="rId6" Type="http://schemas.openxmlformats.org/officeDocument/2006/relationships/hyperlink" Target="https://energysavingtrust.org.uk/about-us/our-data/" TargetMode="External"/><Relationship Id="rId5" Type="http://schemas.openxmlformats.org/officeDocument/2006/relationships/hyperlink" Target="https://www.rac.co.uk/drive/electric-cars/charging/electric-car-public-charging-costs-rac-charge-watch/" TargetMode="External"/><Relationship Id="rId4" Type="http://schemas.openxmlformats.org/officeDocument/2006/relationships/hyperlink" Target="https://energysavingtrust.org.uk/about-us/our-da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B2DC-F374-427D-9E93-896CBF6D1FB9}">
  <sheetPr codeName="Sheet1">
    <tabColor theme="9"/>
  </sheetPr>
  <dimension ref="A1:S15"/>
  <sheetViews>
    <sheetView zoomScaleNormal="100" workbookViewId="0">
      <selection activeCell="H8" sqref="H8"/>
    </sheetView>
  </sheetViews>
  <sheetFormatPr defaultColWidth="0" defaultRowHeight="14.45" zeroHeight="1"/>
  <cols>
    <col min="1" max="2" width="8.7109375" customWidth="1"/>
    <col min="3" max="3" width="8.5703125" customWidth="1"/>
    <col min="4" max="4" width="8.7109375" customWidth="1"/>
    <col min="5" max="5" width="7.85546875" customWidth="1"/>
    <col min="6" max="6" width="9.5703125" customWidth="1"/>
    <col min="7" max="7" width="11.42578125" customWidth="1"/>
    <col min="8" max="8" width="12" customWidth="1"/>
    <col min="9" max="9" width="8.7109375" customWidth="1"/>
    <col min="10" max="10" width="10.5703125" customWidth="1"/>
    <col min="11" max="11" width="13.42578125" customWidth="1"/>
    <col min="12" max="16" width="8.7109375" customWidth="1"/>
    <col min="17" max="17" width="7.5703125" customWidth="1"/>
    <col min="18" max="18" width="11.140625" customWidth="1"/>
    <col min="19" max="19" width="8.7109375" customWidth="1"/>
    <col min="20" max="16384" width="8.7109375" hidden="1"/>
  </cols>
  <sheetData>
    <row r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3"/>
    </row>
    <row r="3" spans="1:19" ht="39.6" customHeight="1">
      <c r="A3" s="3"/>
      <c r="B3" s="5"/>
      <c r="C3" s="79" t="s">
        <v>0</v>
      </c>
      <c r="D3" s="80"/>
      <c r="E3" s="80"/>
      <c r="F3" s="80"/>
      <c r="G3" s="80"/>
      <c r="H3" s="81"/>
      <c r="I3" s="5"/>
      <c r="J3" s="79" t="s">
        <v>1</v>
      </c>
      <c r="K3" s="80"/>
      <c r="L3" s="80"/>
      <c r="M3" s="80"/>
      <c r="N3" s="80"/>
      <c r="O3" s="81"/>
      <c r="P3" s="3"/>
      <c r="Q3" s="3"/>
      <c r="R3" s="2"/>
      <c r="S3" s="3"/>
    </row>
    <row r="4" spans="1:19" ht="20.100000000000001">
      <c r="A4" s="3"/>
      <c r="B4" s="5"/>
      <c r="C4" s="6"/>
      <c r="D4" s="7"/>
      <c r="E4" s="7"/>
      <c r="F4" s="7"/>
      <c r="G4" s="7"/>
      <c r="H4" s="8"/>
      <c r="I4" s="5"/>
      <c r="J4" s="6"/>
      <c r="K4" s="7"/>
      <c r="L4" s="7"/>
      <c r="M4" s="7"/>
      <c r="N4" s="7"/>
      <c r="O4" s="8"/>
      <c r="P4" s="3"/>
      <c r="Q4" s="1"/>
      <c r="R4" s="1"/>
      <c r="S4" s="3"/>
    </row>
    <row r="5" spans="1:19" ht="42.95" customHeight="1">
      <c r="A5" s="3"/>
      <c r="B5" s="5"/>
      <c r="C5" s="82" t="s">
        <v>2</v>
      </c>
      <c r="D5" s="83"/>
      <c r="E5" s="83"/>
      <c r="F5" s="9">
        <v>157</v>
      </c>
      <c r="G5" s="7"/>
      <c r="H5" s="8"/>
      <c r="I5" s="5"/>
      <c r="J5" s="82" t="s">
        <v>3</v>
      </c>
      <c r="K5" s="83"/>
      <c r="L5" s="83"/>
      <c r="M5" s="88" t="s">
        <v>4</v>
      </c>
      <c r="N5" s="89"/>
      <c r="O5" s="8"/>
      <c r="P5" s="3"/>
      <c r="Q5" s="1"/>
      <c r="R5" s="1"/>
      <c r="S5" s="3"/>
    </row>
    <row r="6" spans="1:19" ht="20.100000000000001">
      <c r="A6" s="3"/>
      <c r="B6" s="5"/>
      <c r="C6" s="10" t="s">
        <v>5</v>
      </c>
      <c r="D6" s="11"/>
      <c r="E6" s="12"/>
      <c r="F6" s="12"/>
      <c r="G6" s="7"/>
      <c r="H6" s="8"/>
      <c r="I6" s="5"/>
      <c r="J6" s="6"/>
      <c r="K6" s="13"/>
      <c r="L6" s="7"/>
      <c r="M6" s="7"/>
      <c r="N6" s="7"/>
      <c r="O6" s="8"/>
      <c r="P6" s="3"/>
      <c r="Q6" s="3"/>
      <c r="R6" s="3"/>
      <c r="S6" s="3"/>
    </row>
    <row r="7" spans="1:19" ht="34.5" customHeight="1">
      <c r="A7" s="3"/>
      <c r="B7" s="5"/>
      <c r="C7" s="82" t="s">
        <v>6</v>
      </c>
      <c r="D7" s="83"/>
      <c r="E7" s="83"/>
      <c r="F7" s="9">
        <v>20000</v>
      </c>
      <c r="G7" s="7"/>
      <c r="H7" s="8"/>
      <c r="I7" s="5"/>
      <c r="J7" s="82" t="s">
        <v>6</v>
      </c>
      <c r="K7" s="83"/>
      <c r="L7" s="83"/>
      <c r="M7" s="9">
        <v>20000</v>
      </c>
      <c r="N7" s="7"/>
      <c r="O7" s="8"/>
      <c r="P7" s="3"/>
      <c r="Q7" s="3"/>
      <c r="R7" s="3"/>
      <c r="S7" s="3"/>
    </row>
    <row r="8" spans="1:19" ht="18.600000000000001" customHeight="1">
      <c r="A8" s="3"/>
      <c r="B8" s="5"/>
      <c r="C8" s="6"/>
      <c r="D8" s="7"/>
      <c r="E8" s="7"/>
      <c r="F8" s="7"/>
      <c r="G8" s="7"/>
      <c r="H8" s="8"/>
      <c r="I8" s="62"/>
      <c r="J8" s="6"/>
      <c r="K8" s="7"/>
      <c r="L8" s="7"/>
      <c r="M8" s="7"/>
      <c r="N8" s="7"/>
      <c r="O8" s="8"/>
      <c r="P8" s="3"/>
      <c r="Q8" s="3"/>
      <c r="R8" s="3"/>
      <c r="S8" s="3"/>
    </row>
    <row r="9" spans="1:19" ht="27" customHeight="1">
      <c r="A9" s="3"/>
      <c r="B9" s="5"/>
      <c r="C9" s="86" t="str">
        <f xml:space="preserve"> "Your vehicle emits " &amp; ROUND('Calculations and figures'!B4, 0) &amp; " kg of CO₂ a year"</f>
        <v>Your vehicle emits 5737 kg of CO₂ a year</v>
      </c>
      <c r="D9" s="85"/>
      <c r="E9" s="85"/>
      <c r="F9" s="85"/>
      <c r="G9" s="85"/>
      <c r="H9" s="87"/>
      <c r="I9" s="5"/>
      <c r="J9" s="58"/>
      <c r="K9" s="85" t="str">
        <f>"Your vehicle emits " &amp; ROUND('Calculations and figures'!B13, 0) &amp; " kg of CO₂ a year"</f>
        <v>Your vehicle emits 1516 kg of CO₂ a year</v>
      </c>
      <c r="L9" s="85"/>
      <c r="M9" s="85"/>
      <c r="N9" s="85"/>
      <c r="O9" s="59"/>
      <c r="P9" s="3"/>
      <c r="Q9" s="3"/>
      <c r="R9" s="3"/>
      <c r="S9" s="3"/>
    </row>
    <row r="10" spans="1:19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  <c r="Q10" s="3"/>
      <c r="R10" s="3"/>
      <c r="S10" s="3"/>
    </row>
    <row r="11" spans="1:19" ht="21.6" customHeight="1">
      <c r="A11" s="3"/>
      <c r="B11" s="5"/>
      <c r="C11" s="5"/>
      <c r="D11" s="5"/>
      <c r="E11" s="5"/>
      <c r="F11" s="5"/>
      <c r="G11" s="76" t="s">
        <v>7</v>
      </c>
      <c r="H11" s="77"/>
      <c r="I11" s="77"/>
      <c r="J11" s="77"/>
      <c r="K11" s="78"/>
      <c r="L11" s="5"/>
      <c r="M11" s="69" t="s">
        <v>8</v>
      </c>
      <c r="N11" s="69"/>
      <c r="O11" s="69"/>
      <c r="P11" s="69"/>
      <c r="Q11" s="69"/>
      <c r="R11" s="69"/>
      <c r="S11" s="69"/>
    </row>
    <row r="12" spans="1:19" ht="20.100000000000001" customHeight="1">
      <c r="A12" s="3"/>
      <c r="B12" s="5"/>
      <c r="C12" s="63"/>
      <c r="D12" s="5"/>
      <c r="E12" s="5"/>
      <c r="F12" s="5"/>
      <c r="G12" s="14"/>
      <c r="H12" s="84" t="str">
        <f xml:space="preserve"> IF('Calculations and figures'!B14="N/A, mileage not equal", ROUND('Calculations and figures'!B15, 1) &amp; "kg of CO₂ per 100 miles", ROUND('Calculations and figures'!B14, 0) &amp; " kg of CO₂ a year")</f>
        <v>4222 kg of CO₂ a year</v>
      </c>
      <c r="I12" s="84"/>
      <c r="J12" s="84"/>
      <c r="K12" s="15"/>
      <c r="L12" s="5"/>
      <c r="M12" s="69"/>
      <c r="N12" s="69"/>
      <c r="O12" s="69"/>
      <c r="P12" s="69"/>
      <c r="Q12" s="69"/>
      <c r="R12" s="69"/>
      <c r="S12" s="69"/>
    </row>
    <row r="13" spans="1:19" ht="24.95" customHeight="1">
      <c r="A13" s="3"/>
      <c r="B13" s="5"/>
      <c r="C13" s="5"/>
      <c r="D13" s="5"/>
      <c r="E13" s="5"/>
      <c r="F13" s="5"/>
      <c r="G13" s="70" t="str">
        <f>"This is roughly equivalent to the amount of CO₂ removed from the atmosphere each year by " &amp; ROUND('Calculations and figures'!B19, 0) &amp; " mature trees in a native UK woodland"</f>
        <v>This is roughly equivalent to the amount of CO₂ removed from the atmosphere each year by 1251 mature trees in a native UK woodland</v>
      </c>
      <c r="H13" s="71"/>
      <c r="I13" s="71"/>
      <c r="J13" s="71"/>
      <c r="K13" s="72"/>
      <c r="L13" s="5"/>
      <c r="M13" s="69"/>
      <c r="N13" s="69"/>
      <c r="O13" s="69"/>
      <c r="P13" s="69"/>
      <c r="Q13" s="69"/>
      <c r="R13" s="69"/>
      <c r="S13" s="69"/>
    </row>
    <row r="14" spans="1:19" ht="34.5" customHeight="1">
      <c r="A14" s="3"/>
      <c r="B14" s="5"/>
      <c r="C14" s="5"/>
      <c r="D14" s="5"/>
      <c r="E14" s="5"/>
      <c r="F14" s="5"/>
      <c r="G14" s="73"/>
      <c r="H14" s="74"/>
      <c r="I14" s="74"/>
      <c r="J14" s="74"/>
      <c r="K14" s="75"/>
      <c r="L14" s="5"/>
      <c r="M14" s="69"/>
      <c r="N14" s="69"/>
      <c r="O14" s="69"/>
      <c r="P14" s="69"/>
      <c r="Q14" s="69"/>
      <c r="R14" s="69"/>
      <c r="S14" s="69"/>
    </row>
    <row r="15" spans="1:19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69"/>
      <c r="N15" s="69"/>
      <c r="O15" s="69"/>
      <c r="P15" s="69"/>
      <c r="Q15" s="69"/>
      <c r="R15" s="69"/>
      <c r="S15" s="69"/>
    </row>
  </sheetData>
  <sheetProtection algorithmName="SHA-512" hashValue="bpnmgcPv14S7XlQNCWVN8pGtZwX6AlLOq/U4Fp0wv766kVokgbZQHyqcdSW9+SlN3H3OlSjEr0nXUm43DdU4RQ==" saltValue="6l/tzfxvTnDIOIz5Bkdxuw==" spinCount="100000" sheet="1" sort="0" autoFilter="0" pivotTables="0"/>
  <mergeCells count="13">
    <mergeCell ref="M11:S15"/>
    <mergeCell ref="G13:K14"/>
    <mergeCell ref="G11:K11"/>
    <mergeCell ref="C3:H3"/>
    <mergeCell ref="J3:O3"/>
    <mergeCell ref="J5:L5"/>
    <mergeCell ref="J7:L7"/>
    <mergeCell ref="C5:E5"/>
    <mergeCell ref="C7:E7"/>
    <mergeCell ref="H12:J12"/>
    <mergeCell ref="K9:N9"/>
    <mergeCell ref="C9:H9"/>
    <mergeCell ref="M5:N5"/>
  </mergeCells>
  <dataValidations count="1">
    <dataValidation type="list" allowBlank="1" showInputMessage="1" showErrorMessage="1" sqref="M5" xr:uid="{AD91C1C5-4BF9-4C2D-AF14-89A10454B8A7}">
      <formula1>"Average Car, Average Van, Small Car, Medium Car, Large Car, Class I Van (up to 1.305 tonnes), Class II Van (1.305-1.74 tonnes), Class III Van (1.74-3.5 tonnes)"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9E9F-9A58-46C4-BE23-1CCF3252A33B}">
  <sheetPr>
    <tabColor theme="7"/>
  </sheetPr>
  <dimension ref="A1:AC51"/>
  <sheetViews>
    <sheetView tabSelected="1" zoomScaleNormal="100" workbookViewId="0">
      <selection activeCell="Q8" sqref="Q8"/>
    </sheetView>
  </sheetViews>
  <sheetFormatPr defaultColWidth="0" defaultRowHeight="14.45" zeroHeight="1"/>
  <cols>
    <col min="1" max="3" width="9.5703125" customWidth="1"/>
    <col min="4" max="4" width="12.28515625" customWidth="1"/>
    <col min="5" max="6" width="9.5703125" customWidth="1"/>
    <col min="7" max="7" width="11.140625" customWidth="1"/>
    <col min="8" max="14" width="9.5703125" customWidth="1"/>
    <col min="15" max="18" width="9.5703125" style="53" customWidth="1"/>
    <col min="19" max="29" width="0" style="53" hidden="1" customWidth="1"/>
    <col min="30" max="16384" width="9.5703125" style="53" hidden="1"/>
  </cols>
  <sheetData>
    <row r="1" spans="1:28" customFormat="1" ht="20.10000000000000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45"/>
      <c r="Q1" s="45"/>
      <c r="R1" s="20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0.100000000000001">
      <c r="A2" s="20"/>
      <c r="B2" s="90" t="s">
        <v>9</v>
      </c>
      <c r="C2" s="91"/>
      <c r="D2" s="91"/>
      <c r="E2" s="91"/>
      <c r="F2" s="91"/>
      <c r="G2" s="91"/>
      <c r="H2" s="20"/>
      <c r="I2" s="90" t="s">
        <v>10</v>
      </c>
      <c r="J2" s="92"/>
      <c r="K2" s="92"/>
      <c r="L2" s="92"/>
      <c r="M2" s="92"/>
      <c r="N2" s="92"/>
      <c r="O2" s="45"/>
      <c r="P2" s="45"/>
      <c r="Q2" s="45"/>
      <c r="R2" s="45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20.100000000000001">
      <c r="A3" s="21"/>
      <c r="B3" s="95" t="s">
        <v>11</v>
      </c>
      <c r="C3" s="95"/>
      <c r="D3" s="95"/>
      <c r="E3" s="16">
        <v>500</v>
      </c>
      <c r="F3" s="22"/>
      <c r="G3" s="23"/>
      <c r="H3" s="20"/>
      <c r="I3" s="124" t="str">
        <f>"Your fuel cost is " &amp; TEXT('Calculations and figures'!H4,"£#,##0.00") &amp;" per litre."</f>
        <v>Your fuel cost is £1.41 per litre.</v>
      </c>
      <c r="J3" s="95"/>
      <c r="K3" s="95"/>
      <c r="L3" s="95"/>
      <c r="M3" s="22"/>
      <c r="N3" s="23"/>
      <c r="O3" s="45"/>
      <c r="P3" s="45"/>
      <c r="Q3" s="45"/>
      <c r="R3" s="45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1:28" ht="20.100000000000001">
      <c r="A4" s="20"/>
      <c r="B4" s="24"/>
      <c r="C4" s="25"/>
      <c r="D4" s="25"/>
      <c r="E4" s="26"/>
      <c r="F4" s="27"/>
      <c r="G4" s="28"/>
      <c r="H4" s="20"/>
      <c r="I4" s="24"/>
      <c r="J4" s="27"/>
      <c r="K4" s="27"/>
      <c r="L4" s="27"/>
      <c r="M4" s="27"/>
      <c r="N4" s="28"/>
      <c r="O4" s="45"/>
      <c r="P4" s="45"/>
      <c r="Q4" s="54"/>
      <c r="R4" s="45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pans="1:28" ht="20.100000000000001" customHeight="1">
      <c r="A5" s="20"/>
      <c r="B5" s="105" t="s">
        <v>12</v>
      </c>
      <c r="C5" s="106"/>
      <c r="D5" s="106"/>
      <c r="E5" s="106"/>
      <c r="F5" s="106"/>
      <c r="G5" s="29"/>
      <c r="H5" s="20"/>
      <c r="I5" s="122" t="str">
        <f>"Your electricity cost is " &amp; TEXT('Calculations and figures'!H8,"£#,##0.00") &amp; " per kWh."</f>
        <v>Your electricity cost is £0.32 per kWh.</v>
      </c>
      <c r="J5" s="123"/>
      <c r="K5" s="123"/>
      <c r="L5" s="123"/>
      <c r="M5" s="30"/>
      <c r="N5" s="31"/>
      <c r="O5" s="45"/>
      <c r="P5" s="45"/>
      <c r="Q5" s="54"/>
      <c r="R5" s="45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ht="20.100000000000001" customHeight="1">
      <c r="A6" s="20"/>
      <c r="B6" s="102" t="s">
        <v>13</v>
      </c>
      <c r="C6" s="103"/>
      <c r="D6" s="103"/>
      <c r="E6" s="103"/>
      <c r="F6" s="17">
        <v>40.6</v>
      </c>
      <c r="G6" s="33"/>
      <c r="H6" s="20"/>
      <c r="I6" s="24"/>
      <c r="J6" s="27"/>
      <c r="K6" s="27"/>
      <c r="L6" s="27"/>
      <c r="M6" s="27"/>
      <c r="N6" s="28"/>
      <c r="O6" s="45"/>
      <c r="P6" s="45"/>
      <c r="Q6" s="45"/>
      <c r="R6" s="45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ht="20.100000000000001">
      <c r="A7" s="20"/>
      <c r="B7" s="64" t="s">
        <v>14</v>
      </c>
      <c r="C7" s="30"/>
      <c r="D7" s="30"/>
      <c r="E7" s="65"/>
      <c r="F7" s="18" t="s">
        <v>15</v>
      </c>
      <c r="G7" s="31"/>
      <c r="H7" s="20"/>
      <c r="I7" s="93" t="str">
        <f>"To drive " &amp; E3 &amp; " miles each year, you would spend around " &amp; TEXT('Calculations and figures'!H11,"£#,###") &amp; " on " &amp; LOWER(E7) &amp; "."</f>
        <v>To drive 500 miles each year, you would spend around £79 on .</v>
      </c>
      <c r="J7" s="94"/>
      <c r="K7" s="94"/>
      <c r="L7" s="94"/>
      <c r="M7" s="94"/>
      <c r="N7" s="120"/>
      <c r="O7" s="45"/>
      <c r="P7" s="45"/>
      <c r="Q7" s="45"/>
      <c r="R7" s="45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ht="20.100000000000001">
      <c r="A8" s="20"/>
      <c r="B8" s="66" t="s">
        <v>16</v>
      </c>
      <c r="C8" s="25"/>
      <c r="D8" s="25"/>
      <c r="E8" s="27"/>
      <c r="F8" s="27"/>
      <c r="G8" s="28"/>
      <c r="H8" s="20"/>
      <c r="I8" s="98"/>
      <c r="J8" s="99"/>
      <c r="K8" s="99"/>
      <c r="L8" s="99"/>
      <c r="M8" s="99"/>
      <c r="N8" s="121"/>
      <c r="O8" s="45"/>
      <c r="P8" s="45"/>
      <c r="Q8" s="45"/>
      <c r="R8" s="45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1:28" ht="20.100000000000001" customHeight="1">
      <c r="A9" s="21"/>
      <c r="B9" s="93" t="s">
        <v>17</v>
      </c>
      <c r="C9" s="94"/>
      <c r="D9" s="94"/>
      <c r="E9" s="94"/>
      <c r="F9" s="94"/>
      <c r="G9" s="29"/>
      <c r="H9" s="20"/>
      <c r="I9" s="24"/>
      <c r="J9" s="27"/>
      <c r="K9" s="27"/>
      <c r="L9" s="27"/>
      <c r="M9" s="27"/>
      <c r="N9" s="28"/>
      <c r="O9" s="45"/>
      <c r="P9" s="45"/>
      <c r="Q9" s="54"/>
      <c r="R9" s="45"/>
      <c r="S9" s="52"/>
      <c r="T9" s="52"/>
      <c r="U9" s="52"/>
      <c r="V9" s="52"/>
      <c r="W9" s="52"/>
      <c r="X9" s="52"/>
      <c r="Y9" s="52"/>
      <c r="Z9" s="52"/>
      <c r="AA9" s="52"/>
      <c r="AB9" s="52"/>
    </row>
    <row r="10" spans="1:28" ht="20.100000000000001" customHeight="1">
      <c r="A10" s="20"/>
      <c r="B10" s="96" t="s">
        <v>18</v>
      </c>
      <c r="C10" s="97"/>
      <c r="D10" s="97"/>
      <c r="E10" s="97"/>
      <c r="F10" s="100">
        <v>315</v>
      </c>
      <c r="G10" s="107" t="s">
        <v>19</v>
      </c>
      <c r="H10" s="20"/>
      <c r="I10" s="93" t="str">
        <f xml:space="preserve"> "To drive " &amp; E3 &amp; " miles each year, you would pay around " &amp; TEXT('Calculations and figures'!H12,"£#,###") &amp; " for electricity."</f>
        <v>To drive 500 miles each year, you would pay around £50 for electricity.</v>
      </c>
      <c r="J10" s="94"/>
      <c r="K10" s="94"/>
      <c r="L10" s="94"/>
      <c r="M10" s="94"/>
      <c r="N10" s="120"/>
      <c r="O10" s="45"/>
      <c r="P10" s="45"/>
      <c r="Q10" s="54"/>
      <c r="R10" s="45"/>
      <c r="S10" s="52"/>
      <c r="T10" s="52"/>
      <c r="U10" s="52"/>
      <c r="V10" s="52"/>
      <c r="W10" s="52"/>
      <c r="X10" s="52"/>
      <c r="Y10" s="52"/>
      <c r="Z10" s="52"/>
      <c r="AA10" s="52"/>
      <c r="AB10" s="52"/>
    </row>
    <row r="11" spans="1:28" ht="20.100000000000001" customHeight="1">
      <c r="A11" s="20"/>
      <c r="B11" s="98"/>
      <c r="C11" s="99"/>
      <c r="D11" s="99"/>
      <c r="E11" s="99"/>
      <c r="F11" s="101"/>
      <c r="G11" s="108"/>
      <c r="H11" s="20"/>
      <c r="I11" s="98"/>
      <c r="J11" s="99"/>
      <c r="K11" s="99"/>
      <c r="L11" s="99"/>
      <c r="M11" s="99"/>
      <c r="N11" s="121"/>
      <c r="O11" s="45"/>
      <c r="P11" s="45"/>
      <c r="Q11" s="54"/>
      <c r="R11" s="45"/>
      <c r="S11" s="52"/>
      <c r="T11" s="52"/>
      <c r="U11" s="52"/>
      <c r="V11" s="52"/>
      <c r="W11" s="52"/>
      <c r="X11" s="52"/>
      <c r="Y11" s="52"/>
      <c r="Z11" s="52"/>
      <c r="AA11" s="52"/>
      <c r="AB11" s="52"/>
    </row>
    <row r="12" spans="1:28" ht="20.100000000000001">
      <c r="A12" s="20"/>
      <c r="B12" s="24"/>
      <c r="C12" s="27"/>
      <c r="D12" s="27"/>
      <c r="E12" s="27"/>
      <c r="F12" s="27"/>
      <c r="G12" s="28"/>
      <c r="H12" s="20"/>
      <c r="I12" s="24"/>
      <c r="J12" s="27"/>
      <c r="K12" s="27"/>
      <c r="L12" s="27"/>
      <c r="M12" s="27"/>
      <c r="N12" s="28"/>
      <c r="O12" s="45"/>
      <c r="P12" s="45"/>
      <c r="Q12" s="45"/>
      <c r="R12" s="45"/>
      <c r="S12" s="52"/>
      <c r="T12" s="52"/>
      <c r="U12" s="52"/>
      <c r="V12" s="52"/>
      <c r="W12" s="52"/>
      <c r="X12" s="52"/>
      <c r="Y12" s="52"/>
      <c r="Z12" s="52"/>
      <c r="AA12" s="52"/>
      <c r="AB12" s="52"/>
    </row>
    <row r="13" spans="1:28" ht="20.100000000000001">
      <c r="A13" s="20"/>
      <c r="B13" s="109" t="s">
        <v>20</v>
      </c>
      <c r="C13" s="110"/>
      <c r="D13" s="110"/>
      <c r="E13" s="110"/>
      <c r="F13" s="34"/>
      <c r="G13" s="35"/>
      <c r="H13" s="20"/>
      <c r="I13" s="93" t="str">
        <f xml:space="preserve"> "This means that by switching to an electric vehicle, you could save " &amp; TEXT('Calculations and figures'!H13,"£#,###") &amp; " each year on your fuel costs."</f>
        <v>This means that by switching to an electric vehicle, you could save £29 each year on your fuel costs.</v>
      </c>
      <c r="J13" s="94"/>
      <c r="K13" s="94"/>
      <c r="L13" s="94"/>
      <c r="M13" s="94"/>
      <c r="N13" s="120"/>
      <c r="O13" s="45"/>
      <c r="P13" s="45"/>
      <c r="Q13" s="45"/>
      <c r="R13" s="45"/>
      <c r="S13" s="52"/>
      <c r="T13" s="52"/>
      <c r="U13" s="52"/>
      <c r="V13" s="52"/>
      <c r="W13" s="52"/>
      <c r="X13" s="52"/>
      <c r="Y13" s="52"/>
      <c r="Z13" s="52"/>
      <c r="AA13" s="52"/>
      <c r="AB13" s="52"/>
    </row>
    <row r="14" spans="1:28" ht="20.100000000000001" customHeight="1">
      <c r="A14" s="20"/>
      <c r="B14" s="96" t="s">
        <v>21</v>
      </c>
      <c r="C14" s="97"/>
      <c r="D14" s="97"/>
      <c r="E14" s="97"/>
      <c r="F14" s="97"/>
      <c r="G14" s="104"/>
      <c r="H14" s="20"/>
      <c r="I14" s="98"/>
      <c r="J14" s="99"/>
      <c r="K14" s="99"/>
      <c r="L14" s="99"/>
      <c r="M14" s="99"/>
      <c r="N14" s="121"/>
      <c r="O14" s="45"/>
      <c r="P14" s="45"/>
      <c r="Q14" s="45"/>
      <c r="R14" s="45"/>
      <c r="S14" s="52"/>
      <c r="T14" s="52"/>
      <c r="U14" s="52"/>
      <c r="V14" s="52"/>
      <c r="W14" s="52"/>
      <c r="X14" s="52"/>
      <c r="Y14" s="52"/>
      <c r="Z14" s="52"/>
      <c r="AA14" s="52"/>
      <c r="AB14" s="52"/>
    </row>
    <row r="15" spans="1:28" ht="20.100000000000001" customHeight="1">
      <c r="A15" s="21"/>
      <c r="B15" s="36" t="s">
        <v>22</v>
      </c>
      <c r="C15" s="97" t="s">
        <v>23</v>
      </c>
      <c r="D15" s="97"/>
      <c r="E15" s="97"/>
      <c r="F15" s="97"/>
      <c r="G15" s="111">
        <v>0</v>
      </c>
      <c r="H15" s="20"/>
      <c r="I15" s="37"/>
      <c r="J15" s="26"/>
      <c r="K15" s="26"/>
      <c r="L15" s="26"/>
      <c r="M15" s="26"/>
      <c r="N15" s="38"/>
      <c r="O15" s="45"/>
      <c r="P15" s="45"/>
      <c r="Q15" s="45"/>
      <c r="R15" s="45"/>
      <c r="S15" s="52"/>
      <c r="T15" s="52"/>
      <c r="U15" s="52"/>
      <c r="V15" s="52"/>
      <c r="W15" s="52"/>
      <c r="X15" s="52"/>
      <c r="Y15" s="52"/>
      <c r="Z15" s="52"/>
      <c r="AA15" s="52"/>
      <c r="AB15" s="52"/>
    </row>
    <row r="16" spans="1:28" ht="20.100000000000001" customHeight="1">
      <c r="A16" s="20"/>
      <c r="B16" s="39"/>
      <c r="C16" s="97"/>
      <c r="D16" s="97"/>
      <c r="E16" s="97"/>
      <c r="F16" s="97"/>
      <c r="G16" s="112"/>
      <c r="H16" s="20"/>
      <c r="I16" s="117" t="str">
        <f xml:space="preserve"> "This would increase to a saving of " &amp; TEXT('Calculations and figures'!H14,"£#,###") &amp; " over three years."</f>
        <v>This would increase to a saving of £88 over three years.</v>
      </c>
      <c r="J16" s="118"/>
      <c r="K16" s="118"/>
      <c r="L16" s="118"/>
      <c r="M16" s="118"/>
      <c r="N16" s="119"/>
      <c r="O16" s="45"/>
      <c r="P16" s="45"/>
      <c r="Q16" s="45"/>
      <c r="R16" s="45"/>
      <c r="S16" s="52"/>
      <c r="T16" s="52"/>
      <c r="U16" s="52"/>
      <c r="V16" s="52"/>
      <c r="W16" s="52"/>
      <c r="X16" s="52"/>
      <c r="Y16" s="52"/>
      <c r="Z16" s="52"/>
      <c r="AA16" s="52"/>
      <c r="AB16" s="52"/>
    </row>
    <row r="17" spans="1:29" ht="20.100000000000001">
      <c r="A17" s="21"/>
      <c r="B17" s="40" t="s">
        <v>22</v>
      </c>
      <c r="C17" s="97" t="s">
        <v>24</v>
      </c>
      <c r="D17" s="97"/>
      <c r="E17" s="97"/>
      <c r="F17" s="97"/>
      <c r="G17" s="113">
        <v>0.7</v>
      </c>
      <c r="H17" s="20"/>
      <c r="I17" s="20"/>
      <c r="J17" s="20"/>
      <c r="K17" s="20"/>
      <c r="L17" s="20"/>
      <c r="M17" s="20"/>
      <c r="N17" s="20"/>
      <c r="O17" s="45"/>
      <c r="P17" s="45"/>
      <c r="Q17" s="45"/>
      <c r="R17" s="45"/>
      <c r="S17" s="52"/>
      <c r="T17" s="52"/>
      <c r="U17" s="52"/>
      <c r="V17" s="52"/>
      <c r="W17" s="52"/>
      <c r="X17" s="52"/>
      <c r="Y17" s="52"/>
      <c r="Z17" s="52"/>
      <c r="AA17" s="52"/>
      <c r="AB17" s="52"/>
    </row>
    <row r="18" spans="1:29" ht="20.100000000000001">
      <c r="A18" s="21"/>
      <c r="B18" s="39"/>
      <c r="C18" s="97"/>
      <c r="D18" s="97"/>
      <c r="E18" s="97"/>
      <c r="F18" s="97"/>
      <c r="G18" s="111"/>
      <c r="H18" s="20"/>
      <c r="I18" s="45"/>
      <c r="J18" s="20"/>
      <c r="K18" s="20"/>
      <c r="L18" s="20"/>
      <c r="M18" s="20"/>
      <c r="N18" s="20"/>
      <c r="O18" s="45"/>
      <c r="P18" s="45"/>
      <c r="Q18" s="45"/>
      <c r="R18" s="45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ht="18" customHeight="1">
      <c r="A19" s="21"/>
      <c r="B19" s="68" t="s">
        <v>25</v>
      </c>
      <c r="C19" s="97" t="s">
        <v>26</v>
      </c>
      <c r="D19" s="97"/>
      <c r="E19" s="97"/>
      <c r="F19" s="97"/>
      <c r="G19" s="114">
        <v>0.15</v>
      </c>
      <c r="H19" s="20"/>
      <c r="I19" s="45"/>
      <c r="J19" s="20"/>
      <c r="K19" s="20"/>
      <c r="L19" s="20"/>
      <c r="M19" s="20"/>
      <c r="N19" s="20"/>
      <c r="O19" s="45"/>
      <c r="P19" s="45"/>
      <c r="Q19" s="45"/>
      <c r="R19" s="45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</row>
    <row r="20" spans="1:29" ht="18" customHeight="1">
      <c r="A20" s="21"/>
      <c r="B20" s="39"/>
      <c r="C20" s="97"/>
      <c r="D20" s="97"/>
      <c r="E20" s="97"/>
      <c r="F20" s="97"/>
      <c r="G20" s="115"/>
      <c r="H20" s="20"/>
      <c r="I20" s="45"/>
      <c r="J20" s="20"/>
      <c r="K20" s="20"/>
      <c r="L20" s="20"/>
      <c r="M20" s="20"/>
      <c r="N20" s="20"/>
      <c r="O20" s="45"/>
      <c r="P20" s="45"/>
      <c r="Q20" s="45"/>
      <c r="R20" s="45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ht="20.100000000000001" customHeight="1">
      <c r="A21" s="21"/>
      <c r="B21" s="41" t="s">
        <v>22</v>
      </c>
      <c r="C21" s="97" t="s">
        <v>27</v>
      </c>
      <c r="D21" s="97"/>
      <c r="E21" s="97"/>
      <c r="F21" s="97"/>
      <c r="G21" s="113">
        <v>0.3</v>
      </c>
      <c r="H21" s="42"/>
      <c r="I21" s="116" t="s">
        <v>28</v>
      </c>
      <c r="J21" s="116"/>
      <c r="K21" s="116"/>
      <c r="L21" s="116"/>
      <c r="M21" s="116"/>
      <c r="N21" s="116"/>
      <c r="O21" s="116"/>
      <c r="P21" s="116"/>
      <c r="Q21" s="116"/>
      <c r="R21" s="116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</row>
    <row r="22" spans="1:29" ht="20.100000000000001">
      <c r="A22" s="20"/>
      <c r="B22" s="39"/>
      <c r="C22" s="97"/>
      <c r="D22" s="97"/>
      <c r="E22" s="97"/>
      <c r="F22" s="97"/>
      <c r="G22" s="111"/>
      <c r="H22" s="20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</row>
    <row r="23" spans="1:29" ht="20.100000000000001">
      <c r="A23" s="20"/>
      <c r="B23" s="43" t="s">
        <v>29</v>
      </c>
      <c r="C23" s="32"/>
      <c r="D23" s="32"/>
      <c r="E23" s="32"/>
      <c r="F23" s="32"/>
      <c r="G23" s="33"/>
      <c r="H23" s="20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</row>
    <row r="24" spans="1:29" ht="20.100000000000001">
      <c r="A24" s="21"/>
      <c r="B24" s="98" t="s">
        <v>30</v>
      </c>
      <c r="C24" s="99"/>
      <c r="D24" s="99"/>
      <c r="E24" s="99"/>
      <c r="F24" s="19">
        <v>0.24</v>
      </c>
      <c r="G24" s="31"/>
      <c r="H24" s="20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</row>
    <row r="25" spans="1:29" ht="20.100000000000001">
      <c r="A25" s="20"/>
      <c r="B25" s="67"/>
      <c r="C25" s="20"/>
      <c r="D25" s="20"/>
      <c r="E25" s="20"/>
      <c r="F25" s="44"/>
      <c r="G25" s="44"/>
      <c r="H25" s="20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52"/>
      <c r="T25" s="52"/>
      <c r="U25" s="52"/>
      <c r="V25" s="52"/>
      <c r="W25" s="52"/>
      <c r="X25" s="52"/>
      <c r="Y25" s="52"/>
      <c r="Z25" s="52"/>
      <c r="AA25" s="52"/>
      <c r="AB25" s="52"/>
    </row>
    <row r="26" spans="1:29" ht="20.100000000000001" hidden="1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</row>
    <row r="27" spans="1:29" ht="20.100000000000001" hidden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</row>
    <row r="28" spans="1:29" ht="20.100000000000001" hidden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spans="1:29" ht="20.100000000000001" hidden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</row>
    <row r="30" spans="1:29" ht="20.100000000000001" hidden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</row>
    <row r="31" spans="1:29" ht="20.100000000000001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</row>
    <row r="32" spans="1:29" ht="20.100000000000001" hidden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</row>
    <row r="33" spans="1:28" ht="20.100000000000001" hidden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</row>
    <row r="34" spans="1:28" ht="20.100000000000001" hidden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</row>
    <row r="35" spans="1:28" ht="20.100000000000001" hidden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</row>
    <row r="36" spans="1:28" ht="20.100000000000001" hidden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</row>
    <row r="37" spans="1:28" ht="20.100000000000001" hidden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</row>
    <row r="38" spans="1:28" ht="20.100000000000001" hidden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</row>
    <row r="39" spans="1:28" ht="20.100000000000001" hidden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28" ht="20.100000000000001" hidden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</row>
    <row r="41" spans="1:28" ht="20.100000000000001" hidden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</row>
    <row r="42" spans="1:28" ht="20.100000000000001" hidden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  <row r="43" spans="1:28" ht="20.100000000000001" hidden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</row>
    <row r="44" spans="1:28" ht="20.100000000000001" hidden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1:28" ht="20.100000000000001" hidden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</row>
    <row r="46" spans="1:28" ht="20.100000000000001" hidden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spans="1:28" ht="20.100000000000001" hidden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spans="1:28" ht="20.100000000000001" hidden="1">
      <c r="A48" s="4"/>
      <c r="B48" s="4"/>
      <c r="C48" s="4"/>
      <c r="D48" s="4"/>
      <c r="E48" s="4"/>
      <c r="F48" s="4"/>
      <c r="G48" s="4"/>
      <c r="H48" s="4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</row>
    <row r="49" spans="1:28" ht="20.100000000000001" hidden="1">
      <c r="A49" s="4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</row>
    <row r="50" spans="1:28" ht="20.100000000000001" hidden="1">
      <c r="A50" s="4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</row>
    <row r="51" spans="1:28" ht="20.100000000000001" hidden="1">
      <c r="P51" s="52"/>
    </row>
  </sheetData>
  <sheetProtection algorithmName="SHA-512" hashValue="LG7uUwgK547J/IkMWmS7iW2mbgl7Fm5QU5MpgFoPvq74jyII8Sl+T7N6GTw6s4X6BMusJXo6pabf0Gv9o6GnCQ==" saltValue="MTmHnp5O1r4XcRBAW3XnWw==" spinCount="100000" sheet="1"/>
  <mergeCells count="27">
    <mergeCell ref="I21:R25"/>
    <mergeCell ref="I16:N16"/>
    <mergeCell ref="I7:N8"/>
    <mergeCell ref="I5:L5"/>
    <mergeCell ref="I3:L3"/>
    <mergeCell ref="I10:N11"/>
    <mergeCell ref="I13:N14"/>
    <mergeCell ref="B14:G14"/>
    <mergeCell ref="B24:E24"/>
    <mergeCell ref="B5:F5"/>
    <mergeCell ref="G10:G11"/>
    <mergeCell ref="B13:E13"/>
    <mergeCell ref="G15:G16"/>
    <mergeCell ref="G17:G18"/>
    <mergeCell ref="G21:G22"/>
    <mergeCell ref="C15:F16"/>
    <mergeCell ref="C17:F18"/>
    <mergeCell ref="C21:F22"/>
    <mergeCell ref="G19:G20"/>
    <mergeCell ref="C19:F20"/>
    <mergeCell ref="B2:G2"/>
    <mergeCell ref="I2:N2"/>
    <mergeCell ref="B9:F9"/>
    <mergeCell ref="B3:D3"/>
    <mergeCell ref="B10:E11"/>
    <mergeCell ref="F10:F11"/>
    <mergeCell ref="B6:E6"/>
  </mergeCells>
  <dataValidations count="6">
    <dataValidation type="list" allowBlank="1" showInputMessage="1" showErrorMessage="1" sqref="F7" xr:uid="{02050FFC-9D75-4FFD-8AB4-35CBAFB2EEBE}">
      <formula1>"Petrol, Diesel"</formula1>
    </dataValidation>
    <dataValidation type="custom" errorStyle="information" showInputMessage="1" showErrorMessage="1" errorTitle="Alert" error="To use your own value for the cost of electricity, set the percentages of standard, off-peak and rapid charging to zero" sqref="F24" xr:uid="{C971CF2D-A907-4DC2-B0C9-3D4DC794E454}">
      <formula1>SUM(G15+G17+G21)&lt;100%</formula1>
    </dataValidation>
    <dataValidation type="list" allowBlank="1" showInputMessage="1" showErrorMessage="1" errorTitle="Alert" error="Choose value from the list" sqref="G10:G11" xr:uid="{21409F8F-E27D-4FE6-AEA3-41EF73C28254}">
      <formula1>"miles/kWh, kWh/100km, kWh/100 miles, Wh/km, Wh/mile, kWh/km, kWh/mile, km/kWh"</formula1>
    </dataValidation>
    <dataValidation type="custom" errorStyle="information" allowBlank="1" showInputMessage="1" showErrorMessage="1" errorTitle="Alert" error="Make sure your percentages add up to 100" sqref="G15:G16" xr:uid="{4235D3BD-E6D4-4DE2-BBCD-55B8F4810A75}">
      <formula1>SUM(G15+G17+G21)&lt;=100%</formula1>
    </dataValidation>
    <dataValidation type="custom" errorStyle="information" allowBlank="1" showInputMessage="1" showErrorMessage="1" errorTitle="Alert" error="Make sure your percentages add up to 100" sqref="G21:G22" xr:uid="{A79FD334-4D76-40A4-ADFB-87B424193B1F}">
      <formula1>SUM(G21+G23+G25)&lt;=100%</formula1>
    </dataValidation>
    <dataValidation type="custom" errorStyle="information" allowBlank="1" showInputMessage="1" showErrorMessage="1" errorTitle="Alert" error="Make sure your percentages add up to 100" sqref="G17:G19" xr:uid="{A390F5C7-9B61-49DD-91C8-1847A63C0CFF}">
      <formula1>SUM(G17+G21+G23)&lt;=100%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04771-B445-4291-B36E-225E615E058C}">
  <sheetPr>
    <tabColor theme="1"/>
  </sheetPr>
  <dimension ref="A1:J19"/>
  <sheetViews>
    <sheetView topLeftCell="A13" workbookViewId="0">
      <selection activeCell="D16" sqref="D16:D17"/>
    </sheetView>
  </sheetViews>
  <sheetFormatPr defaultRowHeight="14.45"/>
  <cols>
    <col min="1" max="1" width="26" customWidth="1"/>
    <col min="3" max="3" width="35.7109375" customWidth="1"/>
    <col min="4" max="4" width="13.85546875" customWidth="1"/>
    <col min="7" max="7" width="17.42578125" customWidth="1"/>
    <col min="8" max="8" width="12" customWidth="1"/>
    <col min="9" max="9" width="21.42578125" customWidth="1"/>
    <col min="10" max="10" width="15.7109375" customWidth="1"/>
  </cols>
  <sheetData>
    <row r="1" spans="1:10" ht="29.1">
      <c r="A1" s="47" t="s">
        <v>31</v>
      </c>
      <c r="B1" s="48" t="s">
        <v>32</v>
      </c>
      <c r="C1" s="48" t="s">
        <v>33</v>
      </c>
      <c r="D1" s="48" t="s">
        <v>34</v>
      </c>
      <c r="G1" s="47" t="s">
        <v>31</v>
      </c>
      <c r="H1" s="48" t="s">
        <v>32</v>
      </c>
      <c r="I1" s="48" t="s">
        <v>33</v>
      </c>
      <c r="J1" s="48" t="s">
        <v>34</v>
      </c>
    </row>
    <row r="2" spans="1:10" ht="72.599999999999994">
      <c r="A2" s="49" t="s">
        <v>35</v>
      </c>
      <c r="B2" s="51">
        <v>0.1356</v>
      </c>
      <c r="C2" s="49" t="s">
        <v>36</v>
      </c>
      <c r="D2" s="60">
        <v>44992</v>
      </c>
      <c r="G2" s="56" t="s">
        <v>37</v>
      </c>
      <c r="H2" s="57">
        <v>1.23</v>
      </c>
      <c r="I2" s="61" t="s">
        <v>38</v>
      </c>
      <c r="J2" s="60">
        <v>44992</v>
      </c>
    </row>
    <row r="3" spans="1:10" ht="72.599999999999994">
      <c r="A3" s="46" t="s">
        <v>39</v>
      </c>
      <c r="B3">
        <f>'CO2 emissions calculator'!F5+('CO2 emissions calculator'!F5*'Calculations and figures'!B2)</f>
        <v>178.28919999999999</v>
      </c>
      <c r="G3" s="56" t="s">
        <v>40</v>
      </c>
      <c r="H3" s="57">
        <v>1.41</v>
      </c>
      <c r="I3" s="49" t="s">
        <v>38</v>
      </c>
      <c r="J3" s="60">
        <v>44992</v>
      </c>
    </row>
    <row r="4" spans="1:10" ht="29.1">
      <c r="A4" s="46" t="s">
        <v>41</v>
      </c>
      <c r="B4">
        <f>('CO2 emissions calculator'!F7*1.609)*'Calculations and figures'!B3/1000</f>
        <v>5737.3464560000002</v>
      </c>
      <c r="G4" s="55" t="s">
        <v>42</v>
      </c>
      <c r="H4" s="55">
        <f>IF('Savings on fuel'!F7="Petrol", H2, IF('Savings on fuel'!F7="Diesel", H3, "N/A"))</f>
        <v>1.41</v>
      </c>
    </row>
    <row r="5" spans="1:10" ht="43.5">
      <c r="A5" s="49" t="s">
        <v>43</v>
      </c>
      <c r="B5" s="50">
        <v>9.1789999999999997E-2</v>
      </c>
      <c r="C5" s="61" t="s">
        <v>44</v>
      </c>
      <c r="D5" s="60">
        <v>44992</v>
      </c>
      <c r="G5" s="56" t="s">
        <v>45</v>
      </c>
      <c r="H5" s="57">
        <v>0.34</v>
      </c>
      <c r="I5" s="61" t="s">
        <v>46</v>
      </c>
      <c r="J5" s="60">
        <v>44992</v>
      </c>
    </row>
    <row r="6" spans="1:10" ht="43.5">
      <c r="A6" s="49" t="s">
        <v>47</v>
      </c>
      <c r="B6" s="50">
        <v>7.578E-2</v>
      </c>
      <c r="C6" s="49" t="s">
        <v>44</v>
      </c>
      <c r="D6" s="60">
        <v>44992</v>
      </c>
      <c r="G6" s="56" t="s">
        <v>48</v>
      </c>
      <c r="H6" s="57">
        <v>0.2</v>
      </c>
      <c r="I6" s="61" t="s">
        <v>46</v>
      </c>
      <c r="J6" s="60">
        <v>44992</v>
      </c>
    </row>
    <row r="7" spans="1:10" ht="72.599999999999994">
      <c r="A7" s="49" t="s">
        <v>49</v>
      </c>
      <c r="B7" s="50">
        <v>6.5110000000000001E-2</v>
      </c>
      <c r="C7" s="49" t="s">
        <v>50</v>
      </c>
      <c r="D7" s="60">
        <v>44994</v>
      </c>
      <c r="G7" s="56" t="s">
        <v>51</v>
      </c>
      <c r="H7" s="57">
        <v>0.7</v>
      </c>
      <c r="I7" s="61" t="s">
        <v>52</v>
      </c>
      <c r="J7" s="60">
        <v>44992</v>
      </c>
    </row>
    <row r="8" spans="1:10" ht="43.5">
      <c r="A8" s="49" t="s">
        <v>53</v>
      </c>
      <c r="B8" s="50">
        <v>7.1919999999999998E-2</v>
      </c>
      <c r="C8" s="49" t="s">
        <v>54</v>
      </c>
      <c r="D8" s="60">
        <v>44994</v>
      </c>
      <c r="G8" s="55" t="s">
        <v>55</v>
      </c>
      <c r="H8" s="55">
        <f>IF(AND('Savings on fuel'!G15+'Savings on fuel'!G17+'Savings on fuel'!G21&lt;&gt;100%,'Savings on fuel'!F24=0),"N/A",IF('Savings on fuel'!G15+'Savings on fuel'!G17+'Savings on fuel'!G21=100%,'Savings on fuel'!G15*H5+'Savings on fuel'!G17*(IF('Savings on fuel'!G19="",H6,'Savings on fuel'!G19))+'Savings on fuel'!G21*H7,IF('Savings on fuel'!F24="","N/A",'Savings on fuel'!F24)))</f>
        <v>0.315</v>
      </c>
    </row>
    <row r="9" spans="1:10" ht="43.5">
      <c r="A9" s="49" t="s">
        <v>56</v>
      </c>
      <c r="B9" s="50">
        <v>8.183E-2</v>
      </c>
      <c r="C9" s="49" t="s">
        <v>57</v>
      </c>
      <c r="D9" s="60">
        <v>44994</v>
      </c>
      <c r="G9" s="55" t="s">
        <v>58</v>
      </c>
      <c r="H9" s="55">
        <f>'Savings on fuel'!F6/4.54609</f>
        <v>8.9307514809429644</v>
      </c>
    </row>
    <row r="10" spans="1:10" ht="74.45" customHeight="1">
      <c r="A10" s="49" t="s">
        <v>59</v>
      </c>
      <c r="B10" s="50">
        <v>5.3269999999999998E-2</v>
      </c>
      <c r="C10" s="49" t="s">
        <v>60</v>
      </c>
      <c r="D10" s="60">
        <v>44994</v>
      </c>
      <c r="G10" s="55" t="s">
        <v>61</v>
      </c>
      <c r="H10" s="55">
        <f>IF('Savings on fuel'!G10="miles/kWh",'Savings on fuel'!F10,IF('Savings on fuel'!G10="kWh/100km",100/('Savings on fuel'!F10*1.60934),IF('Savings on fuel'!G10="Wh/mile",1000/'Savings on fuel'!F10,IF('Savings on fuel'!G10="kWh/100 miles",100/'Savings on fuel'!F10,IF('Savings on fuel'!G10="Wh/km",1000/('Savings on fuel'!F10*1.60934),IF('Savings on fuel'!G10="kWh/mile",1/'Savings on fuel'!F10,IF('Savings on fuel'!G10="kWh/km",1/('Savings on fuel'!F10*1.60934),IF('Savings on fuel'!G10="km/kWh",'Savings on fuel'!F10*0.621371,""))))))))</f>
        <v>3.1746031746031744</v>
      </c>
    </row>
    <row r="11" spans="1:10" ht="43.5">
      <c r="A11" s="49" t="s">
        <v>62</v>
      </c>
      <c r="B11" s="50">
        <v>8.3169999999999994E-2</v>
      </c>
      <c r="C11" s="49" t="s">
        <v>63</v>
      </c>
      <c r="D11" s="60">
        <v>44994</v>
      </c>
      <c r="G11" s="55" t="s">
        <v>64</v>
      </c>
      <c r="H11" s="55">
        <f>IF(OR(H4="N/A", 'Savings on fuel'!E3 = 0, 'Savings on fuel'!E3 ="", H9 = 0, H9 = ""),"N/A", 'Savings on fuel'!E3/H9*H4)</f>
        <v>78.940725369458121</v>
      </c>
    </row>
    <row r="12" spans="1:10" ht="43.5">
      <c r="A12" s="49" t="s">
        <v>65</v>
      </c>
      <c r="B12" s="50">
        <v>0.13750999999999999</v>
      </c>
      <c r="C12" s="49" t="s">
        <v>66</v>
      </c>
      <c r="D12" s="60">
        <v>44994</v>
      </c>
      <c r="G12" s="55" t="s">
        <v>67</v>
      </c>
      <c r="H12" s="55">
        <f>IF(OR(H8="N/A",H10="",'Savings on fuel'!E3=""), "N/A",'Savings on fuel'!E3/H10*H8)</f>
        <v>49.612499999999997</v>
      </c>
    </row>
    <row r="13" spans="1:10" ht="29.1">
      <c r="A13" s="46" t="s">
        <v>68</v>
      </c>
      <c r="B13">
        <f>IF('CO2 emissions calculator'!M5="Average Car",'CO2 emissions calculator'!M7*'Calculations and figures'!B6,IF('CO2 emissions calculator'!M5="Average Van",'CO2 emissions calculator'!M7*'Calculations and figures'!B5,IF('CO2 emissions calculator'!M5="Small Car", 'CO2 emissions calculator'!M7*'Calculations and figures'!B7, IF('CO2 emissions calculator'!M5="Medium Car", 'CO2 emissions calculator'!M7*'Calculations and figures'!B8, IF('CO2 emissions calculator'!M5="Large Car", 'CO2 emissions calculator'!M7*'Calculations and figures'!B9, IF('CO2 emissions calculator'!M5="Class I Van (up to 1.305 tonnes)", 'CO2 emissions calculator'!M7*'Calculations and figures'!B10, IF('CO2 emissions calculator'!M5="Class II Van (1.305-1.74 tonnes)", 'CO2 emissions calculator'!M7*'Calculations and figures'!B11,IF('CO2 emissions calculator'!M5="Class III Van (1.74-3.5 tonnes)", 'CO2 emissions calculator'!M7*'Calculations and figures'!B12,0))))))))</f>
        <v>1515.6</v>
      </c>
      <c r="G13" s="55" t="s">
        <v>69</v>
      </c>
      <c r="H13" s="55">
        <f>IF(OR(H12="N/A", H11="N/A"), "N/A", H11-H12)</f>
        <v>29.328225369458124</v>
      </c>
    </row>
    <row r="14" spans="1:10" ht="43.5">
      <c r="A14" s="46" t="s">
        <v>70</v>
      </c>
      <c r="B14" s="46">
        <f>IF(OR(B4=0,B13=0),"N/A",IF('CO2 emissions calculator'!F7='CO2 emissions calculator'!M7,B4-B13,"N/A, mileage not equal"))</f>
        <v>4221.7464560000008</v>
      </c>
      <c r="G14" s="55" t="s">
        <v>71</v>
      </c>
      <c r="H14" s="55">
        <f>IF(H13="N/A", "N/A", H13*3)</f>
        <v>87.984676108374373</v>
      </c>
    </row>
    <row r="15" spans="1:10" ht="29.1">
      <c r="A15" s="46" t="s">
        <v>72</v>
      </c>
      <c r="B15" t="str">
        <f xml:space="preserve"> IF(B14="N/A, mileage not equal", 100*((B4/'CO2 emissions calculator'!F7)-(B13/'CO2 emissions calculator'!M7)), "")</f>
        <v/>
      </c>
      <c r="H15" s="55"/>
    </row>
    <row r="16" spans="1:10" ht="72.599999999999994">
      <c r="A16" s="49" t="s">
        <v>73</v>
      </c>
      <c r="B16" s="50">
        <v>5400</v>
      </c>
      <c r="C16" s="61" t="s">
        <v>74</v>
      </c>
      <c r="D16" s="60">
        <v>44992</v>
      </c>
      <c r="H16" s="55"/>
    </row>
    <row r="17" spans="1:8" ht="72.599999999999994">
      <c r="A17" s="49" t="s">
        <v>75</v>
      </c>
      <c r="B17" s="50">
        <v>1600</v>
      </c>
      <c r="C17" s="49" t="s">
        <v>76</v>
      </c>
      <c r="D17" s="60">
        <v>44992</v>
      </c>
      <c r="H17" s="55"/>
    </row>
    <row r="18" spans="1:8" ht="29.1">
      <c r="A18" s="46" t="s">
        <v>77</v>
      </c>
      <c r="B18">
        <f>B16/B17</f>
        <v>3.375</v>
      </c>
      <c r="C18" s="46"/>
      <c r="H18" s="55"/>
    </row>
    <row r="19" spans="1:8" ht="57.95">
      <c r="A19" s="46" t="s">
        <v>78</v>
      </c>
      <c r="B19">
        <f>IF(B15="", B14/B18, B15/B18)</f>
        <v>1250.887838814815</v>
      </c>
    </row>
  </sheetData>
  <sheetProtection algorithmName="SHA-512" hashValue="hlBn8dTcno+/yZVQoBsw+9l+6jjS4M6kLnh4QxYyz2APwVU/G4bcLpA1OG0SUxqR1JUd/hvteDs4kWsWChUf1w==" saltValue="ajklOD4HFL9ETEYkMT8X8w==" spinCount="100000" sheet="1" objects="1" scenarios="1"/>
  <phoneticPr fontId="22" type="noConversion"/>
  <hyperlinks>
    <hyperlink ref="C5" r:id="rId1" xr:uid="{DF5BC5E9-A015-4BF0-B3C1-E7C515550F59}"/>
    <hyperlink ref="C16" r:id="rId2" xr:uid="{95D2D5B3-481B-4BFA-A7C9-A13EEA9DD048}"/>
    <hyperlink ref="I2" r:id="rId3" xr:uid="{E8CD1B19-4096-4DBB-B900-145BB4382907}"/>
    <hyperlink ref="I5" r:id="rId4" xr:uid="{D549A941-C9AB-487E-8422-445E8CA7FBC4}"/>
    <hyperlink ref="I7" r:id="rId5" xr:uid="{7B223032-F61F-4D07-9074-B59EEE9D8569}"/>
    <hyperlink ref="I6" r:id="rId6" xr:uid="{DFB7B5A9-7AA1-4C49-B8DC-00B93EC304E4}"/>
  </hyperlinks>
  <pageMargins left="0.7" right="0.7" top="0.75" bottom="0.75" header="0.3" footer="0.3"/>
  <pageSetup paperSize="9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6D802FE7A55A419627B5163046AE90" ma:contentTypeVersion="13" ma:contentTypeDescription="Create a new document." ma:contentTypeScope="" ma:versionID="52b55b0975ebac3c1b709fd452ede336">
  <xsd:schema xmlns:xsd="http://www.w3.org/2001/XMLSchema" xmlns:xs="http://www.w3.org/2001/XMLSchema" xmlns:p="http://schemas.microsoft.com/office/2006/metadata/properties" xmlns:ns2="785b73d2-4f03-4647-9dc3-8d8512892439" xmlns:ns3="8c6a30df-9321-447d-a1d6-d04aa202ed48" targetNamespace="http://schemas.microsoft.com/office/2006/metadata/properties" ma:root="true" ma:fieldsID="68aa5fc6360a8e00449c16b4d57eb7c5" ns2:_="" ns3:_="">
    <xsd:import namespace="785b73d2-4f03-4647-9dc3-8d8512892439"/>
    <xsd:import namespace="8c6a30df-9321-447d-a1d6-d04aa202ed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b73d2-4f03-4647-9dc3-8d85128924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a30df-9321-447d-a1d6-d04aa202ed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b9d586-32b5-4aef-8e2f-143f508598e7}" ma:internalName="TaxCatchAll" ma:showField="CatchAllData" ma:web="8c6a30df-9321-447d-a1d6-d04aa202ed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6a30df-9321-447d-a1d6-d04aa202ed48" xsi:nil="true"/>
    <SharedWithUsers xmlns="8c6a30df-9321-447d-a1d6-d04aa202ed48">
      <UserInfo>
        <DisplayName>Rachel Swiatek (she/her)</DisplayName>
        <AccountId>12</AccountId>
        <AccountType/>
      </UserInfo>
      <UserInfo>
        <DisplayName>Grace O'Callaghan</DisplayName>
        <AccountId>32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615875B-059E-47C1-B0CB-B5EE3C9CE7FC}"/>
</file>

<file path=customXml/itemProps2.xml><?xml version="1.0" encoding="utf-8"?>
<ds:datastoreItem xmlns:ds="http://schemas.openxmlformats.org/officeDocument/2006/customXml" ds:itemID="{0DD60C35-A965-4B9D-9D50-0E494236E009}"/>
</file>

<file path=customXml/itemProps3.xml><?xml version="1.0" encoding="utf-8"?>
<ds:datastoreItem xmlns:ds="http://schemas.openxmlformats.org/officeDocument/2006/customXml" ds:itemID="{D3D07DA8-1BC8-48C0-92AD-8BA15FF4FD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O'Callaghan</dc:creator>
  <cp:keywords/>
  <dc:description/>
  <cp:lastModifiedBy/>
  <cp:revision/>
  <dcterms:created xsi:type="dcterms:W3CDTF">2023-02-17T14:41:10Z</dcterms:created>
  <dcterms:modified xsi:type="dcterms:W3CDTF">2023-03-24T15:30:17Z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d35a62-c0b2-44bf-9f42-9d50f09ce4d1_Enabled">
    <vt:lpwstr>true</vt:lpwstr>
  </property>
  <property fmtid="{D5CDD505-2E9C-101B-9397-08002B2CF9AE}" pid="3" name="MSIP_Label_47d35a62-c0b2-44bf-9f42-9d50f09ce4d1_SetDate">
    <vt:lpwstr>2023-02-17T14:41:11Z</vt:lpwstr>
  </property>
  <property fmtid="{D5CDD505-2E9C-101B-9397-08002B2CF9AE}" pid="4" name="MSIP_Label_47d35a62-c0b2-44bf-9f42-9d50f09ce4d1_Method">
    <vt:lpwstr>Standard</vt:lpwstr>
  </property>
  <property fmtid="{D5CDD505-2E9C-101B-9397-08002B2CF9AE}" pid="5" name="MSIP_Label_47d35a62-c0b2-44bf-9f42-9d50f09ce4d1_Name">
    <vt:lpwstr>Public - Scanning Discovery Mode</vt:lpwstr>
  </property>
  <property fmtid="{D5CDD505-2E9C-101B-9397-08002B2CF9AE}" pid="6" name="MSIP_Label_47d35a62-c0b2-44bf-9f42-9d50f09ce4d1_SiteId">
    <vt:lpwstr>3c384161-3b62-4d05-9486-5295b766e36c</vt:lpwstr>
  </property>
  <property fmtid="{D5CDD505-2E9C-101B-9397-08002B2CF9AE}" pid="7" name="MSIP_Label_47d35a62-c0b2-44bf-9f42-9d50f09ce4d1_ActionId">
    <vt:lpwstr>f894a43f-80e1-4edb-8298-b8c28d7e435b</vt:lpwstr>
  </property>
  <property fmtid="{D5CDD505-2E9C-101B-9397-08002B2CF9AE}" pid="8" name="MSIP_Label_47d35a62-c0b2-44bf-9f42-9d50f09ce4d1_ContentBits">
    <vt:lpwstr>0</vt:lpwstr>
  </property>
  <property fmtid="{D5CDD505-2E9C-101B-9397-08002B2CF9AE}" pid="9" name="ContentTypeId">
    <vt:lpwstr>0x010100566D802FE7A55A419627B5163046AE90</vt:lpwstr>
  </property>
  <property fmtid="{D5CDD505-2E9C-101B-9397-08002B2CF9AE}" pid="10" name="MediaServiceImageTags">
    <vt:lpwstr/>
  </property>
</Properties>
</file>